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6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<sst xmlns="http://schemas.openxmlformats.org/spreadsheetml/2006/main" xmlns:r="http://schemas.openxmlformats.org/officeDocument/2006/relationships" count="49" uniqueCount="49">
  <si>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おおよその
削減費
（円/年）</t>
    <rPh sb="6" eb="8">
      <t>さくげん</t>
    </rPh>
    <rPh sb="8" eb="9">
      <t>ひ</t>
    </rPh>
    <rPh sb="11" eb="12">
      <t>えん</t>
    </rPh>
    <rPh sb="13" eb="14">
      <t>ねん</t>
    </rPh>
    <phoneticPr fontId="1" type="Hiragana"/>
  </si>
  <si>
    <t>おおよその
CO2削減量
（(kg/年）</t>
    <rPh sb="9" eb="11">
      <t>さくげん</t>
    </rPh>
    <rPh sb="11" eb="12">
      <t>りょう</t>
    </rPh>
    <phoneticPr fontId="1" type="Hiragana"/>
  </si>
  <si>
    <t>無駄なあかりはこまめに消す。
（白熱電球1日1時間節約した場合）</t>
    <rPh sb="16" eb="18">
      <t>はくねつ</t>
    </rPh>
    <rPh sb="18" eb="20">
      <t>でんきゅう</t>
    </rPh>
    <phoneticPr fontId="1" type="Hiragana"/>
  </si>
  <si>
    <t>No.</t>
  </si>
  <si>
    <t>テレビ、10年以上前の機器を買い替えた。
(2010年以上前の32V型テレビを買い替えた場合)</t>
  </si>
  <si>
    <t>取組内容</t>
    <rPh sb="0" eb="2">
      <t>とりくみ</t>
    </rPh>
    <rPh sb="2" eb="4">
      <t>ないよう</t>
    </rPh>
    <phoneticPr fontId="1" type="Hiragana"/>
  </si>
  <si>
    <t>ガスファンヒーター</t>
  </si>
  <si>
    <t>区分</t>
    <rPh sb="0" eb="2">
      <t>くぶん</t>
    </rPh>
    <phoneticPr fontId="1" type="Hiragana"/>
  </si>
  <si>
    <t>冷房は必要な時だけつける。
(冷房を1日1時間短縮した場合(設定温度28℃))</t>
  </si>
  <si>
    <t>実施
〇×</t>
    <rPh sb="0" eb="2">
      <t>じっし</t>
    </rPh>
    <phoneticPr fontId="1" type="Hiragana"/>
  </si>
  <si>
    <t>照明器具</t>
    <rPh sb="0" eb="2">
      <t>しょうめい</t>
    </rPh>
    <rPh sb="2" eb="4">
      <t>きぐ</t>
    </rPh>
    <phoneticPr fontId="1" type="Hiragana"/>
  </si>
  <si>
    <t>部屋を片付けてから掃除機をかける。</t>
  </si>
  <si>
    <t>エアコン</t>
  </si>
  <si>
    <t>※ガスファンヒーター、石油ファンヒーター、給湯器、お風呂、洗濯機、自動車は、電気削減量ではなくガスや水道の削減量</t>
    <rPh sb="11" eb="13">
      <t>せきゆ</t>
    </rPh>
    <rPh sb="21" eb="24">
      <t>きゅうとうき</t>
    </rPh>
    <rPh sb="26" eb="28">
      <t>ふろ</t>
    </rPh>
    <rPh sb="29" eb="32">
      <t>せんたくき</t>
    </rPh>
    <rPh sb="33" eb="36">
      <t>じどうしゃ</t>
    </rPh>
    <rPh sb="38" eb="40">
      <t>でんき</t>
    </rPh>
    <rPh sb="40" eb="42">
      <t>さくげん</t>
    </rPh>
    <rPh sb="42" eb="43">
      <t>りょう</t>
    </rPh>
    <rPh sb="50" eb="52">
      <t>すいどう</t>
    </rPh>
    <rPh sb="53" eb="55">
      <t>さくげん</t>
    </rPh>
    <rPh sb="55" eb="56">
      <t>りょう</t>
    </rPh>
    <phoneticPr fontId="1" type="Hiragana"/>
  </si>
  <si>
    <t>開けている時間を短くする。(20秒を10秒に)</t>
  </si>
  <si>
    <t>石油ファンヒーター</t>
    <rPh sb="0" eb="2">
      <t>せきゆ</t>
    </rPh>
    <phoneticPr fontId="1" type="Hiragana"/>
  </si>
  <si>
    <t>テレビ</t>
  </si>
  <si>
    <t>冷蔵庫</t>
    <rPh sb="0" eb="3">
      <t>れいぞうこ</t>
    </rPh>
    <phoneticPr fontId="1" type="Hiragana"/>
  </si>
  <si>
    <t>実施〇×の欄に、〇か×を入力すると、数字が表示されます。</t>
    <rPh sb="0" eb="2">
      <t>じっし</t>
    </rPh>
    <rPh sb="5" eb="6">
      <t>らん</t>
    </rPh>
    <rPh sb="12" eb="14">
      <t>にゅうりょく</t>
    </rPh>
    <rPh sb="18" eb="20">
      <t>すうじ</t>
    </rPh>
    <rPh sb="21" eb="23">
      <t>ひょうじ</t>
    </rPh>
    <phoneticPr fontId="1" type="Hiragana"/>
  </si>
  <si>
    <t>電気ポッド</t>
    <rPh sb="0" eb="2">
      <t>でんき</t>
    </rPh>
    <phoneticPr fontId="1" type="Hiragana"/>
  </si>
  <si>
    <t>お風呂</t>
    <rPh sb="1" eb="3">
      <t>ふろ</t>
    </rPh>
    <phoneticPr fontId="1" type="Hiragana"/>
  </si>
  <si>
    <t>電気ポットの長時間保温はしない。</t>
  </si>
  <si>
    <t>温水洗浄便座</t>
    <rPh sb="0" eb="2">
      <t>おんすい</t>
    </rPh>
    <rPh sb="2" eb="4">
      <t>せんじょう</t>
    </rPh>
    <rPh sb="4" eb="6">
      <t>べんざ</t>
    </rPh>
    <phoneticPr fontId="1" type="Hiragana"/>
  </si>
  <si>
    <t>洗濯機</t>
    <rPh sb="0" eb="3">
      <t>せんたくき</t>
    </rPh>
    <phoneticPr fontId="1" type="Hiragana"/>
  </si>
  <si>
    <t>掃除機</t>
    <rPh sb="0" eb="3">
      <t>そうじき</t>
    </rPh>
    <phoneticPr fontId="1" type="Hiragana"/>
  </si>
  <si>
    <t>自動車</t>
    <rPh sb="0" eb="3">
      <t>じどうしゃ</t>
    </rPh>
    <phoneticPr fontId="1" type="Hiragana"/>
  </si>
  <si>
    <t>〇印をつけた項目の「CO2削減量」の合計は？</t>
    <rPh sb="1" eb="2">
      <t>じるし</t>
    </rPh>
    <rPh sb="6" eb="8">
      <t>こうもく</t>
    </rPh>
    <rPh sb="13" eb="15">
      <t>さくげん</t>
    </rPh>
    <rPh sb="15" eb="16">
      <t>りょう</t>
    </rPh>
    <rPh sb="18" eb="20">
      <t>ごうけい</t>
    </rPh>
    <phoneticPr fontId="1" type="Hiragana"/>
  </si>
  <si>
    <t>白熱電球を電球型LED に取り替えた。</t>
  </si>
  <si>
    <t>冷房時の設定温度は28℃を目安にしている。</t>
  </si>
  <si>
    <t>冬の暖房時の室温は20℃を目安にしている。</t>
  </si>
  <si>
    <t>フィルターを月に１回か２回掃除している。</t>
  </si>
  <si>
    <t>おおよその
電気削減量
（(kWh/年）※</t>
    <rPh sb="6" eb="8">
      <t>でんき</t>
    </rPh>
    <rPh sb="8" eb="10">
      <t>さくげん</t>
    </rPh>
    <rPh sb="10" eb="11">
      <t>りょう</t>
    </rPh>
    <phoneticPr fontId="1" type="Hiragana"/>
  </si>
  <si>
    <t>お風呂のシャワーはこまめに止める。（毎回1分短縮）</t>
  </si>
  <si>
    <t>冷蔵庫にものを詰め込まない。</t>
  </si>
  <si>
    <t>×</t>
  </si>
  <si>
    <t>ふんわりアクセル「eスタート」。緩やかに発進する。</t>
  </si>
  <si>
    <t>設定温度を適切にする。（設定温度「強」を「中」に）</t>
  </si>
  <si>
    <t>食器を洗う時は低温に設定する。（40℃を38℃に）</t>
  </si>
  <si>
    <t>給湯器</t>
    <rPh sb="0" eb="3">
      <t>きゅうとうき</t>
    </rPh>
    <phoneticPr fontId="1" type="Hiragana"/>
  </si>
  <si>
    <t>使わないときはフタを占める。</t>
  </si>
  <si>
    <t>〇</t>
  </si>
  <si>
    <t>暖房便座の温度を低めに設定する。（「中」を「弱」に）</t>
  </si>
  <si>
    <t>暖房は必要な時だけつける。
(暖房を1日1時間短縮した場合(設定温度20℃))</t>
  </si>
  <si>
    <t>洗濯物はまとめ洗いにする。（洗濯回数を半分にする）</t>
  </si>
  <si>
    <t>テレビは見ないときは消す。
(1日1時間見る時間を節約した場合)</t>
  </si>
  <si>
    <t>★わが家のエコライフテスト★</t>
    <rPh sb="3" eb="4">
      <t>いえ</t>
    </rPh>
    <phoneticPr fontId="1" type="Hiragana"/>
  </si>
  <si>
    <t>入浴は間隔をあけない。（2時間放置をやめる）</t>
  </si>
  <si>
    <t>資料：資源エネルギー庁ＨＰ「省エネポータルサイト」</t>
    <rPh sb="0" eb="2">
      <t>しりょう</t>
    </rPh>
    <rPh sb="3" eb="5">
      <t>しげん</t>
    </rPh>
    <rPh sb="10" eb="11">
      <t>ちょう</t>
    </rPh>
    <rPh sb="14" eb="15">
      <t>しょう</t>
    </rPh>
    <phoneticPr fontId="1" type="Hiragana"/>
  </si>
  <si>
    <t>暖房は必要な時だけつける。
(暖房を1日1時間短縮した場合（設定温度20℃))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</si>
</sst>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0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5" fillId="3" borderId="0" xfId="0" applyFont="1" applyFill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>
      <alignment vertical="center"/>
    </xf>
    <xf numFmtId="38" fontId="0" fillId="3" borderId="0" xfId="1" applyFont="1" applyFill="1">
      <alignment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4" borderId="2" xfId="1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2"/>
  <sheetViews>
    <sheetView tabSelected="1" view="pageBreakPreview" zoomScaleNormal="85" zoomScaleSheetLayoutView="100" workbookViewId="0">
      <selection activeCell="D4" sqref="D4"/>
    </sheetView>
  </sheetViews>
  <sheetFormatPr defaultRowHeight="13.5"/>
  <cols>
    <col min="1" max="1" width="5.875" customWidth="1"/>
    <col min="2" max="2" width="20.75" bestFit="1" customWidth="1"/>
    <col min="3" max="3" width="45.625" customWidth="1"/>
    <col min="4" max="4" width="6.875" style="1" customWidth="1"/>
    <col min="5" max="5" width="11.625" customWidth="1"/>
    <col min="6" max="6" width="13.625" customWidth="1"/>
    <col min="7" max="7" width="11.625" style="2" customWidth="1"/>
  </cols>
  <sheetData>
    <row r="1" spans="1:7" ht="27.75" customHeight="1">
      <c r="A1" s="4" t="s">
        <v>45</v>
      </c>
      <c r="B1" s="4"/>
      <c r="C1" s="4"/>
      <c r="D1" s="13"/>
      <c r="E1" s="18"/>
      <c r="F1" s="14" t="s">
        <v>40</v>
      </c>
      <c r="G1" s="14" t="s">
        <v>34</v>
      </c>
    </row>
    <row r="2" spans="1:7" ht="27.75" customHeight="1">
      <c r="A2" s="5" t="s">
        <v>18</v>
      </c>
      <c r="B2" s="5"/>
      <c r="C2" s="5"/>
      <c r="D2" s="14"/>
      <c r="E2" s="14"/>
      <c r="F2" s="18"/>
      <c r="G2" s="21"/>
    </row>
    <row r="3" spans="1:7" ht="40.5">
      <c r="A3" s="6" t="s">
        <v>3</v>
      </c>
      <c r="B3" s="6" t="s">
        <v>7</v>
      </c>
      <c r="C3" s="6" t="s">
        <v>5</v>
      </c>
      <c r="D3" s="15" t="s">
        <v>9</v>
      </c>
      <c r="E3" s="19" t="s">
        <v>1</v>
      </c>
      <c r="F3" s="19" t="s">
        <v>31</v>
      </c>
      <c r="G3" s="22" t="s">
        <v>0</v>
      </c>
    </row>
    <row r="4" spans="1:7" ht="31.5" customHeight="1">
      <c r="A4" s="7">
        <v>1</v>
      </c>
      <c r="B4" s="7" t="s">
        <v>10</v>
      </c>
      <c r="C4" s="11" t="s">
        <v>27</v>
      </c>
      <c r="D4" s="16"/>
      <c r="E4" s="7" t="str">
        <f>IF(D4="〇",43.9,"")</f>
        <v/>
      </c>
      <c r="F4" s="7" t="str">
        <f>IF(D4="〇",90,"")</f>
        <v/>
      </c>
      <c r="G4" s="23" t="str">
        <f>IF(D4="〇",2430,"")</f>
        <v/>
      </c>
    </row>
    <row r="5" spans="1:7" s="3" customFormat="1" ht="31.5" customHeight="1">
      <c r="A5" s="8">
        <v>2</v>
      </c>
      <c r="B5" s="8" t="s">
        <v>10</v>
      </c>
      <c r="C5" s="12" t="s">
        <v>2</v>
      </c>
      <c r="D5" s="16"/>
      <c r="E5" s="8" t="str">
        <f>IF(D5="〇",9.6,"")</f>
        <v/>
      </c>
      <c r="F5" s="8" t="str">
        <f>IF(D5="〇",19.71,"")</f>
        <v/>
      </c>
      <c r="G5" s="24" t="str">
        <f>IF(D5="〇",530,"")</f>
        <v/>
      </c>
    </row>
    <row r="6" spans="1:7" ht="31.5" customHeight="1">
      <c r="A6" s="7">
        <v>3</v>
      </c>
      <c r="B6" s="7" t="s">
        <v>12</v>
      </c>
      <c r="C6" s="11" t="s">
        <v>28</v>
      </c>
      <c r="D6" s="16"/>
      <c r="E6" s="7" t="str">
        <f>IF(D6="〇",14.8,"")</f>
        <v/>
      </c>
      <c r="F6" s="7" t="str">
        <f>IF(D6="〇",30.24,"")</f>
        <v/>
      </c>
      <c r="G6" s="23" t="str">
        <f>IF(D6="〇",820,"")</f>
        <v/>
      </c>
    </row>
    <row r="7" spans="1:7" s="3" customFormat="1" ht="31.5" customHeight="1">
      <c r="A7" s="8">
        <v>4</v>
      </c>
      <c r="B7" s="8" t="s">
        <v>12</v>
      </c>
      <c r="C7" s="12" t="s">
        <v>8</v>
      </c>
      <c r="D7" s="16"/>
      <c r="E7" s="8" t="str">
        <f>IF(D7="〇",9.2,"")</f>
        <v/>
      </c>
      <c r="F7" s="8" t="str">
        <f>IF(D7="〇",18.78,"")</f>
        <v/>
      </c>
      <c r="G7" s="24" t="str">
        <f>IF(D7="〇",510,"")</f>
        <v/>
      </c>
    </row>
    <row r="8" spans="1:7" ht="31.5" customHeight="1">
      <c r="A8" s="7">
        <v>5</v>
      </c>
      <c r="B8" s="7" t="s">
        <v>12</v>
      </c>
      <c r="C8" s="11" t="s">
        <v>29</v>
      </c>
      <c r="D8" s="16"/>
      <c r="E8" s="7" t="str">
        <f>IF(D8="〇",25.9,"")</f>
        <v/>
      </c>
      <c r="F8" s="7" t="str">
        <f>IF(D8="〇",53.08,"")</f>
        <v/>
      </c>
      <c r="G8" s="23" t="str">
        <f>IF(D8="〇",1430,"")</f>
        <v/>
      </c>
    </row>
    <row r="9" spans="1:7" s="3" customFormat="1" ht="31.5" customHeight="1">
      <c r="A9" s="8">
        <v>6</v>
      </c>
      <c r="B9" s="8" t="s">
        <v>12</v>
      </c>
      <c r="C9" s="12" t="s">
        <v>42</v>
      </c>
      <c r="D9" s="16"/>
      <c r="E9" s="8" t="str">
        <f>IF(D9="〇",19.9,"")</f>
        <v/>
      </c>
      <c r="F9" s="8" t="str">
        <f>IF(D9="〇",40.73,"")</f>
        <v/>
      </c>
      <c r="G9" s="24" t="str">
        <f>IF(D9="〇",1100,"")</f>
        <v/>
      </c>
    </row>
    <row r="10" spans="1:7" ht="31.5" customHeight="1">
      <c r="A10" s="7">
        <v>7</v>
      </c>
      <c r="B10" s="7" t="s">
        <v>12</v>
      </c>
      <c r="C10" s="11" t="s">
        <v>30</v>
      </c>
      <c r="D10" s="16"/>
      <c r="E10" s="7" t="str">
        <f>IF(D10="〇",15.6,"")</f>
        <v/>
      </c>
      <c r="F10" s="7" t="str">
        <f>IF(D10="〇",31.95,"")</f>
        <v/>
      </c>
      <c r="G10" s="23" t="str">
        <f>IF(D10="〇",860,"")</f>
        <v/>
      </c>
    </row>
    <row r="11" spans="1:7" s="3" customFormat="1" ht="31.5" customHeight="1">
      <c r="A11" s="8">
        <v>8</v>
      </c>
      <c r="B11" s="8" t="s">
        <v>6</v>
      </c>
      <c r="C11" s="12" t="s">
        <v>29</v>
      </c>
      <c r="D11" s="16"/>
      <c r="E11" s="8" t="str">
        <f>IF(D11="〇",18.3,"")</f>
        <v/>
      </c>
      <c r="F11" s="8" t="str">
        <f>IF(D11="〇",8.15,"")</f>
        <v/>
      </c>
      <c r="G11" s="24" t="str">
        <f>IF(D11="〇",1320,"")</f>
        <v/>
      </c>
    </row>
    <row r="12" spans="1:7" ht="31.5" customHeight="1">
      <c r="A12" s="7">
        <v>9</v>
      </c>
      <c r="B12" s="7" t="s">
        <v>6</v>
      </c>
      <c r="C12" s="11" t="s">
        <v>42</v>
      </c>
      <c r="D12" s="16"/>
      <c r="E12" s="7" t="str">
        <f>IF(D12="〇",30.3,"")</f>
        <v/>
      </c>
      <c r="F12" s="7" t="str">
        <f>IF(D12="〇",12.68,"")</f>
        <v/>
      </c>
      <c r="G12" s="23" t="str">
        <f>IF(D12="〇",2050,"")</f>
        <v/>
      </c>
    </row>
    <row r="13" spans="1:7" s="3" customFormat="1" ht="31.5" customHeight="1">
      <c r="A13" s="8">
        <v>10</v>
      </c>
      <c r="B13" s="8" t="s">
        <v>15</v>
      </c>
      <c r="C13" s="12" t="s">
        <v>29</v>
      </c>
      <c r="D13" s="16"/>
      <c r="E13" s="8" t="str">
        <f>IF(D13="〇",25.4,"")</f>
        <v/>
      </c>
      <c r="F13" s="8" t="str">
        <f>IF(D13="〇",10.22,"")</f>
        <v/>
      </c>
      <c r="G13" s="24" t="str">
        <f>IF(D13="〇",880,"")</f>
        <v/>
      </c>
    </row>
    <row r="14" spans="1:7" ht="31.5" customHeight="1">
      <c r="A14" s="7">
        <v>11</v>
      </c>
      <c r="B14" s="7" t="s">
        <v>15</v>
      </c>
      <c r="C14" s="11" t="s">
        <v>48</v>
      </c>
      <c r="D14" s="16"/>
      <c r="E14" s="7" t="str">
        <f>IF(D14="〇",41.5,"")</f>
        <v/>
      </c>
      <c r="F14" s="7" t="str">
        <f>IF(D14="〇",15.91,"")</f>
        <v/>
      </c>
      <c r="G14" s="23" t="str">
        <f>IF(D14="〇",1370,"")</f>
        <v/>
      </c>
    </row>
    <row r="15" spans="1:7" s="3" customFormat="1" ht="31.5" customHeight="1">
      <c r="A15" s="8">
        <v>12</v>
      </c>
      <c r="B15" s="8" t="s">
        <v>16</v>
      </c>
      <c r="C15" s="12" t="s">
        <v>4</v>
      </c>
      <c r="D15" s="16"/>
      <c r="E15" s="8" t="str">
        <f>IF(D15="〇",60,"")</f>
        <v/>
      </c>
      <c r="F15" s="8" t="str">
        <f>IF(D15="〇",123,"")</f>
        <v/>
      </c>
      <c r="G15" s="24" t="str">
        <f>IF(D15="〇",3321,"")</f>
        <v/>
      </c>
    </row>
    <row r="16" spans="1:7" ht="31.5" customHeight="1">
      <c r="A16" s="7">
        <v>13</v>
      </c>
      <c r="B16" s="7" t="s">
        <v>16</v>
      </c>
      <c r="C16" s="11" t="s">
        <v>44</v>
      </c>
      <c r="D16" s="16"/>
      <c r="E16" s="7" t="str">
        <f>IF(D16="〇",8.2,"")</f>
        <v/>
      </c>
      <c r="F16" s="7" t="str">
        <f>IF(D16="〇",16.79,"")</f>
        <v/>
      </c>
      <c r="G16" s="23" t="str">
        <f>IF(D16="〇",450,"")</f>
        <v/>
      </c>
    </row>
    <row r="17" spans="1:7" s="3" customFormat="1" ht="31.5" customHeight="1">
      <c r="A17" s="8">
        <v>14</v>
      </c>
      <c r="B17" s="8" t="s">
        <v>17</v>
      </c>
      <c r="C17" s="12" t="s">
        <v>33</v>
      </c>
      <c r="D17" s="16"/>
      <c r="E17" s="8" t="str">
        <f>IF(D17="〇",21.4,"")</f>
        <v/>
      </c>
      <c r="F17" s="8" t="str">
        <f>IF(D17="〇",43.84,"")</f>
        <v/>
      </c>
      <c r="G17" s="24" t="str">
        <f>IF(D17="〇",1180,"")</f>
        <v/>
      </c>
    </row>
    <row r="18" spans="1:7" ht="31.5" customHeight="1">
      <c r="A18" s="7">
        <v>15</v>
      </c>
      <c r="B18" s="7" t="s">
        <v>17</v>
      </c>
      <c r="C18" s="11" t="s">
        <v>14</v>
      </c>
      <c r="D18" s="16"/>
      <c r="E18" s="7" t="str">
        <f>IF(D18="〇",3,"")</f>
        <v/>
      </c>
      <c r="F18" s="7" t="str">
        <f>IF(D18="〇",6.1,"")</f>
        <v/>
      </c>
      <c r="G18" s="23" t="str">
        <f>IF(D18="〇",160,"")</f>
        <v/>
      </c>
    </row>
    <row r="19" spans="1:7" s="3" customFormat="1" ht="31.5" customHeight="1">
      <c r="A19" s="8">
        <v>16</v>
      </c>
      <c r="B19" s="8" t="s">
        <v>17</v>
      </c>
      <c r="C19" s="12" t="s">
        <v>36</v>
      </c>
      <c r="D19" s="16"/>
      <c r="E19" s="8" t="str">
        <f>IF(D19="〇",30.1,"")</f>
        <v/>
      </c>
      <c r="F19" s="8" t="str">
        <f>IF(D19="〇",61.72,"")</f>
        <v/>
      </c>
      <c r="G19" s="24" t="str">
        <f>IF(D19="〇",1670,"")</f>
        <v/>
      </c>
    </row>
    <row r="20" spans="1:7" ht="31.5" customHeight="1">
      <c r="A20" s="7">
        <v>17</v>
      </c>
      <c r="B20" s="7" t="s">
        <v>19</v>
      </c>
      <c r="C20" s="11" t="s">
        <v>21</v>
      </c>
      <c r="D20" s="16"/>
      <c r="E20" s="7" t="str">
        <f>IF(D20="〇",52.4,"")</f>
        <v/>
      </c>
      <c r="F20" s="7" t="str">
        <f>IF(D20="〇",107.45,"")</f>
        <v/>
      </c>
      <c r="G20" s="23" t="str">
        <f>IF(D20="〇",2900,"")</f>
        <v/>
      </c>
    </row>
    <row r="21" spans="1:7" s="3" customFormat="1" ht="31.5" customHeight="1">
      <c r="A21" s="8">
        <v>18</v>
      </c>
      <c r="B21" s="8" t="s">
        <v>38</v>
      </c>
      <c r="C21" s="12" t="s">
        <v>37</v>
      </c>
      <c r="D21" s="16"/>
      <c r="E21" s="8" t="str">
        <f>IF(D21="〇",19.7,"")</f>
        <v/>
      </c>
      <c r="F21" s="8" t="str">
        <f>IF(D21="〇",8.8,"")</f>
        <v/>
      </c>
      <c r="G21" s="24" t="str">
        <f>IF(D21="〇",1430,"")</f>
        <v/>
      </c>
    </row>
    <row r="22" spans="1:7" ht="31.5" customHeight="1">
      <c r="A22" s="7">
        <v>19</v>
      </c>
      <c r="B22" s="7" t="s">
        <v>20</v>
      </c>
      <c r="C22" s="11" t="s">
        <v>46</v>
      </c>
      <c r="D22" s="16"/>
      <c r="E22" s="7" t="str">
        <f>IF(D22="〇",85.7,"")</f>
        <v/>
      </c>
      <c r="F22" s="7" t="str">
        <f>IF(D22="〇",38.2,"")</f>
        <v/>
      </c>
      <c r="G22" s="23" t="str">
        <f>IF(D22="〇",6190,"")</f>
        <v/>
      </c>
    </row>
    <row r="23" spans="1:7" s="3" customFormat="1" ht="31.5" customHeight="1">
      <c r="A23" s="8">
        <v>20</v>
      </c>
      <c r="B23" s="8" t="s">
        <v>20</v>
      </c>
      <c r="C23" s="12" t="s">
        <v>32</v>
      </c>
      <c r="D23" s="16"/>
      <c r="E23" s="8" t="str">
        <f>IF(D23="〇",28.7,"")</f>
        <v/>
      </c>
      <c r="F23" s="8" t="str">
        <f>IF(D23="〇",12.78,"")</f>
        <v/>
      </c>
      <c r="G23" s="24" t="str">
        <f>IF(D23="〇",3210,"")</f>
        <v/>
      </c>
    </row>
    <row r="24" spans="1:7" ht="31.5" customHeight="1">
      <c r="A24" s="7">
        <v>21</v>
      </c>
      <c r="B24" s="7" t="s">
        <v>22</v>
      </c>
      <c r="C24" s="11" t="s">
        <v>39</v>
      </c>
      <c r="D24" s="16"/>
      <c r="E24" s="7" t="str">
        <f>IF(D24="〇",17,"")</f>
        <v/>
      </c>
      <c r="F24" s="7" t="str">
        <f>IF(D24="〇",34.9,"")</f>
        <v/>
      </c>
      <c r="G24" s="23" t="str">
        <f>IF(D24="〇",940,"")</f>
        <v/>
      </c>
    </row>
    <row r="25" spans="1:7" s="3" customFormat="1" ht="31.5" customHeight="1">
      <c r="A25" s="8">
        <v>22</v>
      </c>
      <c r="B25" s="8" t="s">
        <v>22</v>
      </c>
      <c r="C25" s="12" t="s">
        <v>41</v>
      </c>
      <c r="D25" s="16"/>
      <c r="E25" s="8" t="str">
        <f>IF(D25="〇",12.9,"")</f>
        <v/>
      </c>
      <c r="F25" s="8" t="str">
        <f>IF(D25="〇",26.4,"")</f>
        <v/>
      </c>
      <c r="G25" s="24" t="str">
        <f>IF(D25="〇",710,"")</f>
        <v/>
      </c>
    </row>
    <row r="26" spans="1:7" ht="31.5" customHeight="1">
      <c r="A26" s="7">
        <v>23</v>
      </c>
      <c r="B26" s="7" t="s">
        <v>23</v>
      </c>
      <c r="C26" s="11" t="s">
        <v>43</v>
      </c>
      <c r="D26" s="16"/>
      <c r="E26" s="7" t="str">
        <f>IF(D26="〇",2.9,"")</f>
        <v/>
      </c>
      <c r="F26" s="7" t="str">
        <f>IF(D26="〇",5.88,"")</f>
        <v/>
      </c>
      <c r="G26" s="23" t="str">
        <f>IF(D26="〇",4510,"")</f>
        <v/>
      </c>
    </row>
    <row r="27" spans="1:7" s="3" customFormat="1" ht="31.5" customHeight="1">
      <c r="A27" s="8">
        <v>24</v>
      </c>
      <c r="B27" s="8" t="s">
        <v>24</v>
      </c>
      <c r="C27" s="12" t="s">
        <v>11</v>
      </c>
      <c r="D27" s="16"/>
      <c r="E27" s="8" t="str">
        <f>IF(D27="〇",2.7,"")</f>
        <v/>
      </c>
      <c r="F27" s="8" t="str">
        <f>IF(D27="〇",5.45,"")</f>
        <v/>
      </c>
      <c r="G27" s="24" t="str">
        <f>IF(D27="〇",150,"")</f>
        <v/>
      </c>
    </row>
    <row r="28" spans="1:7" ht="31.5" customHeight="1">
      <c r="A28" s="7">
        <v>25</v>
      </c>
      <c r="B28" s="7" t="s">
        <v>25</v>
      </c>
      <c r="C28" s="11" t="s">
        <v>35</v>
      </c>
      <c r="D28" s="16"/>
      <c r="E28" s="7" t="str">
        <f>IF(D28="〇",194,"")</f>
        <v/>
      </c>
      <c r="F28" s="7" t="str">
        <f>IF(D28="〇",83.57,"")</f>
        <v/>
      </c>
      <c r="G28" s="23" t="str">
        <f>IF(D28="〇",11950,"")</f>
        <v/>
      </c>
    </row>
    <row r="29" spans="1:7" ht="29.25" customHeight="1">
      <c r="A29" s="9" t="s">
        <v>26</v>
      </c>
      <c r="B29" s="10"/>
      <c r="C29" s="10"/>
      <c r="D29" s="17"/>
      <c r="E29" s="20">
        <f>SUM(E4:E28)</f>
        <v>0</v>
      </c>
      <c r="F29" s="20">
        <f>SUM(F4:F28)</f>
        <v>0</v>
      </c>
      <c r="G29" s="25">
        <f>SUM(G4:G28)</f>
        <v>0</v>
      </c>
    </row>
    <row r="31" spans="1:7">
      <c r="A31" t="s">
        <v>13</v>
      </c>
    </row>
    <row r="32" spans="1:7">
      <c r="A32" t="s">
        <v>47</v>
      </c>
    </row>
  </sheetData>
  <sheetProtection sheet="1" objects="1" scenarios="1" selectLockedCells="1"/>
  <mergeCells count="3">
    <mergeCell ref="A1:C1"/>
    <mergeCell ref="A2:C2"/>
    <mergeCell ref="A29:D29"/>
  </mergeCells>
  <phoneticPr fontId="1" type="Hiragana"/>
  <dataValidations count="1">
    <dataValidation type="list" allowBlank="1" showDropDown="0" showInputMessage="1" showErrorMessage="1" sqref="D4:D28">
      <formula1>$F$1:$G$1</formula1>
    </dataValidation>
  </dataValidations>
  <pageMargins left="0.7" right="0.7" top="0.75" bottom="0.75" header="0.3" footer="0.3"/>
  <pageSetup paperSize="9" scale="7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 雄亮</dc:creator>
  <cp:lastModifiedBy>佐藤 雄亮</cp:lastModifiedBy>
  <dcterms:created xsi:type="dcterms:W3CDTF">2021-08-26T04:11:55Z</dcterms:created>
  <dcterms:modified xsi:type="dcterms:W3CDTF">2021-09-06T05:52:40Z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2021-09-06T05:52:40Z</vt:filetime>
  </property>
</Properties>
</file>